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GoDev\Klienci\Mykoflor\20250313_koszty\"/>
    </mc:Choice>
  </mc:AlternateContent>
  <xr:revisionPtr revIDLastSave="0" documentId="13_ncr:1_{A63D75E9-1F89-4C2D-B862-B3B094DE50DA}" xr6:coauthVersionLast="47" xr6:coauthVersionMax="47" xr10:uidLastSave="{00000000-0000-0000-0000-000000000000}"/>
  <bookViews>
    <workbookView xWindow="19090" yWindow="-6960" windowWidth="38620" windowHeight="21100" activeTab="1" xr2:uid="{6DC5C4D9-CC7C-4280-8181-2EA4029A975C}"/>
  </bookViews>
  <sheets>
    <sheet name="nawożenie" sheetId="1" r:id="rId1"/>
    <sheet name="ochrona rośli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G28" i="2"/>
  <c r="G58" i="2" s="1"/>
  <c r="Q21" i="1" s="1"/>
  <c r="R19" i="1"/>
  <c r="F19" i="1"/>
  <c r="P19" i="1"/>
  <c r="P8" i="1"/>
  <c r="P7" i="1"/>
  <c r="P4" i="1"/>
  <c r="P6" i="1"/>
  <c r="P3" i="1"/>
  <c r="K19" i="1"/>
  <c r="K16" i="1"/>
  <c r="K15" i="1"/>
  <c r="K10" i="1"/>
  <c r="K12" i="1"/>
  <c r="K11" i="1"/>
  <c r="K9" i="1"/>
  <c r="K8" i="1"/>
  <c r="K6" i="1"/>
  <c r="K5" i="1"/>
  <c r="F15" i="1"/>
  <c r="F14" i="1"/>
  <c r="F13" i="1"/>
  <c r="F12" i="1"/>
  <c r="F11" i="1"/>
  <c r="F9" i="1"/>
  <c r="F8" i="1"/>
  <c r="F6" i="1"/>
  <c r="F5" i="1"/>
  <c r="G56" i="2"/>
  <c r="F53" i="2"/>
  <c r="F45" i="2"/>
  <c r="F38" i="2"/>
  <c r="F36" i="2"/>
  <c r="F47" i="2"/>
  <c r="F33" i="2"/>
  <c r="F27" i="2"/>
  <c r="F23" i="2"/>
  <c r="F16" i="2"/>
  <c r="F8" i="2"/>
  <c r="F20" i="2"/>
  <c r="F13" i="2"/>
  <c r="F4" i="2"/>
</calcChain>
</file>

<file path=xl/sharedStrings.xml><?xml version="1.0" encoding="utf-8"?>
<sst xmlns="http://schemas.openxmlformats.org/spreadsheetml/2006/main" count="208" uniqueCount="112">
  <si>
    <t>CHOROBY</t>
  </si>
  <si>
    <t>FAZA: PRZED KWITNIENIEM</t>
  </si>
  <si>
    <t>Preparat</t>
  </si>
  <si>
    <t>Dawka kg (l) / ha</t>
  </si>
  <si>
    <t>Liczba zabiegów</t>
  </si>
  <si>
    <t>ZGORZEL PĘDÓW</t>
  </si>
  <si>
    <t>Phomopsis spp.</t>
  </si>
  <si>
    <t>SZARA PLEŚŃ</t>
  </si>
  <si>
    <t>Botrytis cinerea</t>
  </si>
  <si>
    <t>Godronia cassandrae</t>
  </si>
  <si>
    <t>ZAMIERANIE PĘDÓW</t>
  </si>
  <si>
    <t>Switch 62,5 WG</t>
  </si>
  <si>
    <t>0,8-1,0 kg</t>
  </si>
  <si>
    <t>Luna Sensation 500 SC</t>
  </si>
  <si>
    <t>0,6-0,8 l</t>
  </si>
  <si>
    <t>MĄCZNIAK PRAWDZIWY</t>
  </si>
  <si>
    <t>Microsphaera vaccinii</t>
  </si>
  <si>
    <t xml:space="preserve">0,6-0,8 l </t>
  </si>
  <si>
    <t>FAZA: KWITNIENIE</t>
  </si>
  <si>
    <t>ANTRAKNOZA</t>
  </si>
  <si>
    <t>Colletotrichum spp.</t>
  </si>
  <si>
    <t>FAZA: PO KWITNIENIU DO ZBIORU OWOCÓW</t>
  </si>
  <si>
    <t>FAZA: PO ZBIORZE OWOCÓW</t>
  </si>
  <si>
    <t>SZKODNIKI</t>
  </si>
  <si>
    <t xml:space="preserve">Choroba </t>
  </si>
  <si>
    <t>Organizm szkodliwy</t>
  </si>
  <si>
    <r>
      <t xml:space="preserve">MSZYCE / </t>
    </r>
    <r>
      <rPr>
        <i/>
        <sz val="11"/>
        <color theme="1"/>
        <rFont val="Aptos Narrow"/>
        <family val="2"/>
        <scheme val="minor"/>
      </rPr>
      <t>Aphididae</t>
    </r>
  </si>
  <si>
    <t>Mospilan 20 SP</t>
  </si>
  <si>
    <t>0,2 kg</t>
  </si>
  <si>
    <t>Archips rosana</t>
  </si>
  <si>
    <t>I INNE GĄSIENICE</t>
  </si>
  <si>
    <t>ZJADAJĄCE LIŚCIE</t>
  </si>
  <si>
    <t>ZWÓJKA RÓŻÓWECZKA</t>
  </si>
  <si>
    <t>0,32-0,4 l</t>
  </si>
  <si>
    <t>PRZĘDZIORKI</t>
  </si>
  <si>
    <t>Tetranychidae</t>
  </si>
  <si>
    <t xml:space="preserve">Naturalis </t>
  </si>
  <si>
    <t>1,0-2,0 l</t>
  </si>
  <si>
    <t>MĄCZLIKI</t>
  </si>
  <si>
    <t>Aleyrodidae</t>
  </si>
  <si>
    <t>WCIORNASTKI</t>
  </si>
  <si>
    <t>Thripidae</t>
  </si>
  <si>
    <t>MUSZKA PLAMOSKRZYDŁA</t>
  </si>
  <si>
    <t>Drosophila suzuki</t>
  </si>
  <si>
    <t>SpinTor 240 SC</t>
  </si>
  <si>
    <r>
      <t xml:space="preserve">DRUTOWCE / </t>
    </r>
    <r>
      <rPr>
        <i/>
        <sz val="11"/>
        <color theme="1"/>
        <rFont val="Aptos Narrow"/>
        <family val="2"/>
        <scheme val="minor"/>
      </rPr>
      <t>Agriotes Spp.</t>
    </r>
  </si>
  <si>
    <t>Dasineura vaccinii</t>
  </si>
  <si>
    <t>PRYSZCZAREK BORÓWKOWIEC</t>
  </si>
  <si>
    <t>OGRODNICA NISZCZYLISTKA</t>
  </si>
  <si>
    <t>Phyllopertha horticola</t>
  </si>
  <si>
    <t>0,75-1,5 L</t>
  </si>
  <si>
    <t>Siarkol Extra 80 WP</t>
  </si>
  <si>
    <t xml:space="preserve">3,0-5,0 kg </t>
  </si>
  <si>
    <t>612,00 / kg</t>
  </si>
  <si>
    <t>788,00 / l</t>
  </si>
  <si>
    <t>18,50 / kg</t>
  </si>
  <si>
    <t>92,57 / 0,2 kg</t>
  </si>
  <si>
    <t>800,00 / l</t>
  </si>
  <si>
    <t>237,00 / l</t>
  </si>
  <si>
    <t>Cena preparatu zł</t>
  </si>
  <si>
    <t>Koszt zabiegów zł / ha</t>
  </si>
  <si>
    <t>Po ruszeniu wegetacji</t>
  </si>
  <si>
    <t>Początek kwitnienia / kwitnienie</t>
  </si>
  <si>
    <t>Koniec kwitnienia / początek wzrostu owoców</t>
  </si>
  <si>
    <t>Wzrost owoców</t>
  </si>
  <si>
    <t>Dojrzewanie owoców</t>
  </si>
  <si>
    <t>Zbiory</t>
  </si>
  <si>
    <t>Po zbiorach</t>
  </si>
  <si>
    <t>Faza rozwojowa</t>
  </si>
  <si>
    <t>Fertygacja</t>
  </si>
  <si>
    <t>Superba Blue</t>
  </si>
  <si>
    <t>30 kg</t>
  </si>
  <si>
    <t>Kristalon Brązowy</t>
  </si>
  <si>
    <t>25 kg</t>
  </si>
  <si>
    <t>50 kg</t>
  </si>
  <si>
    <t>15 kg</t>
  </si>
  <si>
    <t>Dolistnie</t>
  </si>
  <si>
    <t>Fruit Controller</t>
  </si>
  <si>
    <t>3 kg</t>
  </si>
  <si>
    <t>Frutrel</t>
  </si>
  <si>
    <t>3 l</t>
  </si>
  <si>
    <t>Calcinit</t>
  </si>
  <si>
    <t>5 kg</t>
  </si>
  <si>
    <t>Kristalon Pomaraczowy</t>
  </si>
  <si>
    <t>KristaLeaf Foto</t>
  </si>
  <si>
    <t>Bortrac</t>
  </si>
  <si>
    <t>2 l</t>
  </si>
  <si>
    <t>Cynk F</t>
  </si>
  <si>
    <t>1 l</t>
  </si>
  <si>
    <t>Kristalon Zielony</t>
  </si>
  <si>
    <t>Yara Mila Complex</t>
  </si>
  <si>
    <t>150 kg</t>
  </si>
  <si>
    <t>Siarczan amonu</t>
  </si>
  <si>
    <t>100 kg</t>
  </si>
  <si>
    <t>Unika Calcium</t>
  </si>
  <si>
    <t>275,00 zł / 25 kg</t>
  </si>
  <si>
    <t>350,00 zł / 25 kg</t>
  </si>
  <si>
    <t>489,00 zł / 10 l</t>
  </si>
  <si>
    <t>75,00 zł / 3 kg</t>
  </si>
  <si>
    <t>23,00 zł / 5 kg</t>
  </si>
  <si>
    <t>44,50 zł / 3 kg</t>
  </si>
  <si>
    <t>45,00 zł / 3 kg</t>
  </si>
  <si>
    <t>200,00 zł / 10 l</t>
  </si>
  <si>
    <t>320,00 zł / 5 l</t>
  </si>
  <si>
    <t>43,00 zł / 3 kg</t>
  </si>
  <si>
    <t>130,00 zł / 25 kg</t>
  </si>
  <si>
    <t>46 zł / 25 kg</t>
  </si>
  <si>
    <t>135,00 zł / 25 kg</t>
  </si>
  <si>
    <t>Doglebowo</t>
  </si>
  <si>
    <t>na hektar</t>
  </si>
  <si>
    <t>roczne koszty nawozów i środków ochrony roślin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</si>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</sst>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u/>
      <sz val="16"/>
      <name val="Aptos Narrow"/>
      <family val="2"/>
      <scheme val="minor"/>
    </font>
    <font>
      <b/>
      <sz val="14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6" xfId="0" applyBorder="1"/>
    <xf numFmtId="0" fontId="0" fillId="0" borderId="5" xfId="0" applyBorder="1" applyAlignment="1">
      <alignment wrapText="1"/>
    </xf>
    <xf numFmtId="0" fontId="1" fillId="0" borderId="6" xfId="0" applyFont="1" applyBorder="1"/>
    <xf numFmtId="0" fontId="0" fillId="0" borderId="7" xfId="0" applyBorder="1"/>
    <xf numFmtId="0" fontId="0" fillId="0" borderId="5" xfId="0" applyBorder="1"/>
    <xf numFmtId="0" fontId="2" fillId="0" borderId="5" xfId="0" applyFont="1" applyBorder="1"/>
    <xf numFmtId="0" fontId="1" fillId="0" borderId="7" xfId="0" applyFont="1" applyBorder="1"/>
    <xf numFmtId="4" fontId="3" fillId="0" borderId="0" xfId="0" applyNumberFormat="1" applyFont="1"/>
    <xf numFmtId="4" fontId="0" fillId="0" borderId="0" xfId="0" applyNumberFormat="1"/>
    <xf numFmtId="4" fontId="3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7" fillId="6" borderId="10" xfId="0" applyFont="1" applyFill="1" applyBorder="1" applyAlignment="1">
      <alignment horizontal="left" vertical="center" indent="2"/>
    </xf>
    <xf numFmtId="0" fontId="8" fillId="5" borderId="10" xfId="0" applyFont="1" applyFill="1" applyBorder="1" applyAlignment="1">
      <alignment horizontal="left" indent="2"/>
    </xf>
    <xf numFmtId="4" fontId="5" fillId="0" borderId="0" xfId="0" applyNumberFormat="1" applyFont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0" fontId="4" fillId="7" borderId="15" xfId="0" applyFont="1" applyFill="1" applyBorder="1" applyAlignment="1">
      <alignment horizontal="left" vertical="center" indent="1"/>
    </xf>
    <xf numFmtId="0" fontId="4" fillId="7" borderId="6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left" indent="1"/>
    </xf>
    <xf numFmtId="0" fontId="0" fillId="8" borderId="3" xfId="0" applyFill="1" applyBorder="1" applyAlignment="1">
      <alignment horizontal="center"/>
    </xf>
    <xf numFmtId="0" fontId="0" fillId="8" borderId="12" xfId="0" applyFill="1" applyBorder="1" applyAlignment="1">
      <alignment horizontal="right" indent="1"/>
    </xf>
    <xf numFmtId="4" fontId="0" fillId="8" borderId="12" xfId="0" applyNumberFormat="1" applyFill="1" applyBorder="1" applyAlignment="1">
      <alignment horizontal="right" indent="1"/>
    </xf>
    <xf numFmtId="0" fontId="4" fillId="9" borderId="17" xfId="0" applyFont="1" applyFill="1" applyBorder="1" applyAlignment="1">
      <alignment horizontal="left" vertical="center" indent="1"/>
    </xf>
    <xf numFmtId="0" fontId="4" fillId="9" borderId="6" xfId="0" applyFont="1" applyFill="1" applyBorder="1" applyAlignment="1">
      <alignment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left" indent="1"/>
    </xf>
    <xf numFmtId="0" fontId="0" fillId="10" borderId="3" xfId="0" applyFill="1" applyBorder="1" applyAlignment="1">
      <alignment horizontal="center"/>
    </xf>
    <xf numFmtId="49" fontId="0" fillId="10" borderId="3" xfId="0" applyNumberFormat="1" applyFill="1" applyBorder="1" applyAlignment="1">
      <alignment horizontal="center"/>
    </xf>
    <xf numFmtId="4" fontId="0" fillId="10" borderId="9" xfId="0" applyNumberFormat="1" applyFill="1" applyBorder="1" applyAlignment="1">
      <alignment horizontal="right" indent="1"/>
    </xf>
    <xf numFmtId="4" fontId="0" fillId="10" borderId="13" xfId="0" applyNumberFormat="1" applyFill="1" applyBorder="1" applyAlignment="1">
      <alignment horizontal="right" indent="1"/>
    </xf>
    <xf numFmtId="0" fontId="4" fillId="11" borderId="15" xfId="0" applyFont="1" applyFill="1" applyBorder="1" applyAlignment="1">
      <alignment horizontal="left" vertical="center" indent="1"/>
    </xf>
    <xf numFmtId="0" fontId="4" fillId="11" borderId="6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 wrapText="1"/>
    </xf>
    <xf numFmtId="0" fontId="0" fillId="12" borderId="11" xfId="0" applyFill="1" applyBorder="1" applyAlignment="1">
      <alignment horizontal="left" indent="1"/>
    </xf>
    <xf numFmtId="0" fontId="0" fillId="12" borderId="3" xfId="0" applyFill="1" applyBorder="1" applyAlignment="1">
      <alignment horizontal="center"/>
    </xf>
    <xf numFmtId="4" fontId="0" fillId="12" borderId="12" xfId="0" applyNumberFormat="1" applyFill="1" applyBorder="1" applyAlignment="1">
      <alignment horizontal="right" indent="1"/>
    </xf>
    <xf numFmtId="4" fontId="0" fillId="12" borderId="14" xfId="0" applyNumberFormat="1" applyFill="1" applyBorder="1" applyAlignment="1">
      <alignment horizontal="right" indent="1"/>
    </xf>
    <xf numFmtId="4" fontId="9" fillId="14" borderId="8" xfId="0" applyNumberFormat="1" applyFont="1" applyFill="1" applyBorder="1" applyAlignment="1">
      <alignment horizontal="right" vertical="center" indent="1"/>
    </xf>
    <xf numFmtId="4" fontId="9" fillId="13" borderId="8" xfId="0" applyNumberFormat="1" applyFont="1" applyFill="1" applyBorder="1" applyAlignment="1">
      <alignment horizontal="right" vertical="center" indent="1"/>
    </xf>
    <xf numFmtId="4" fontId="9" fillId="15" borderId="8" xfId="0" applyNumberFormat="1" applyFont="1" applyFill="1" applyBorder="1" applyAlignment="1">
      <alignment horizontal="right" vertical="center" indent="1"/>
    </xf>
    <xf numFmtId="4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8" fillId="5" borderId="10" xfId="0" applyFont="1" applyFill="1" applyBorder="1" applyAlignment="1">
      <alignment horizontal="left" vertical="center" indent="2"/>
    </xf>
    <xf numFmtId="0" fontId="0" fillId="8" borderId="11" xfId="0" applyFill="1" applyBorder="1" applyAlignment="1">
      <alignment horizontal="left" vertical="center" indent="1"/>
    </xf>
    <xf numFmtId="0" fontId="0" fillId="8" borderId="3" xfId="0" applyFill="1" applyBorder="1" applyAlignment="1">
      <alignment horizontal="center" vertical="center"/>
    </xf>
    <xf numFmtId="0" fontId="0" fillId="10" borderId="4" xfId="0" applyFill="1" applyBorder="1" applyAlignment="1">
      <alignment horizontal="left" vertical="center" indent="1"/>
    </xf>
    <xf numFmtId="0" fontId="0" fillId="12" borderId="3" xfId="0" applyFill="1" applyBorder="1" applyAlignment="1">
      <alignment horizontal="center" vertical="center"/>
    </xf>
    <xf numFmtId="4" fontId="0" fillId="8" borderId="12" xfId="0" applyNumberFormat="1" applyFill="1" applyBorder="1" applyAlignment="1">
      <alignment horizontal="right" vertical="center" indent="1"/>
    </xf>
    <xf numFmtId="4" fontId="0" fillId="8" borderId="14" xfId="0" applyNumberFormat="1" applyFill="1" applyBorder="1" applyAlignment="1">
      <alignment horizontal="right" vertical="center" indent="1"/>
    </xf>
    <xf numFmtId="4" fontId="0" fillId="10" borderId="9" xfId="0" applyNumberFormat="1" applyFill="1" applyBorder="1" applyAlignment="1">
      <alignment horizontal="right" vertical="center" indent="1"/>
    </xf>
    <xf numFmtId="0" fontId="0" fillId="12" borderId="11" xfId="0" applyFill="1" applyBorder="1" applyAlignment="1">
      <alignment horizontal="left" vertical="center" indent="1"/>
    </xf>
    <xf numFmtId="0" fontId="0" fillId="10" borderId="3" xfId="0" applyFill="1" applyBorder="1" applyAlignment="1">
      <alignment horizontal="center" vertical="center"/>
    </xf>
    <xf numFmtId="0" fontId="6" fillId="15" borderId="10" xfId="0" applyFont="1" applyFill="1" applyBorder="1" applyAlignment="1">
      <alignment horizontal="center" vertical="center"/>
    </xf>
    <xf numFmtId="0" fontId="10" fillId="15" borderId="18" xfId="0" applyFont="1" applyFill="1" applyBorder="1" applyAlignment="1">
      <alignment horizontal="center" vertical="center"/>
    </xf>
    <xf numFmtId="0" fontId="10" fillId="15" borderId="19" xfId="0" applyFont="1" applyFill="1" applyBorder="1" applyAlignment="1">
      <alignment horizontal="center" vertical="center"/>
    </xf>
    <xf numFmtId="4" fontId="0" fillId="12" borderId="12" xfId="0" applyNumberFormat="1" applyFill="1" applyBorder="1" applyAlignment="1">
      <alignment horizontal="right" vertical="center" indent="1"/>
    </xf>
    <xf numFmtId="49" fontId="0" fillId="10" borderId="3" xfId="0" applyNumberFormat="1" applyFill="1" applyBorder="1" applyAlignment="1">
      <alignment horizontal="center" vertical="center"/>
    </xf>
    <xf numFmtId="0" fontId="6" fillId="14" borderId="10" xfId="0" applyFont="1" applyFill="1" applyBorder="1" applyAlignment="1">
      <alignment horizontal="center" vertical="center"/>
    </xf>
    <xf numFmtId="0" fontId="9" fillId="14" borderId="18" xfId="0" applyFont="1" applyFill="1" applyBorder="1" applyAlignment="1">
      <alignment horizontal="center" vertical="center"/>
    </xf>
    <xf numFmtId="0" fontId="9" fillId="14" borderId="19" xfId="0" applyFont="1" applyFill="1" applyBorder="1" applyAlignment="1">
      <alignment horizontal="center" vertical="center"/>
    </xf>
    <xf numFmtId="0" fontId="6" fillId="13" borderId="18" xfId="0" applyFont="1" applyFill="1" applyBorder="1" applyAlignment="1">
      <alignment horizontal="center" vertical="center"/>
    </xf>
    <xf numFmtId="0" fontId="3" fillId="13" borderId="1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AC6E5-2370-4E1D-A98E-C04A72583A31}">
  <dimension ref="A1:R21"/>
  <sheetViews>
    <sheetView workbookViewId="0">
      <pane xSplit="1" topLeftCell="I1" activePane="topRight" state="frozen"/>
      <selection pane="topRight" activeCell="R19" sqref="R19"/>
    </sheetView>
  </sheetViews>
  <sheetFormatPr defaultRowHeight="15" x14ac:dyDescent="0.25"/>
  <cols>
    <col min="1" max="1" width="58" customWidth="1"/>
    <col min="2" max="2" width="21.7109375" customWidth="1"/>
    <col min="3" max="3" width="15.7109375" customWidth="1"/>
    <col min="4" max="4" width="16.7109375" customWidth="1"/>
    <col min="5" max="5" width="19.7109375" customWidth="1"/>
    <col min="6" max="6" width="15.7109375" customWidth="1"/>
    <col min="7" max="7" width="27.140625" customWidth="1"/>
    <col min="8" max="8" width="16.7109375" customWidth="1"/>
    <col min="9" max="9" width="18.140625" customWidth="1"/>
    <col min="10" max="10" width="18.42578125" customWidth="1"/>
    <col min="11" max="11" width="15.85546875" customWidth="1"/>
    <col min="12" max="12" width="20.7109375" customWidth="1"/>
    <col min="13" max="13" width="17.140625" customWidth="1"/>
    <col min="14" max="14" width="16.85546875" customWidth="1"/>
    <col min="15" max="15" width="17.5703125" customWidth="1"/>
    <col min="16" max="16" width="15.7109375" customWidth="1"/>
    <col min="17" max="17" width="12.7109375" customWidth="1"/>
    <col min="18" max="18" width="12.28515625" customWidth="1"/>
  </cols>
  <sheetData>
    <row r="1" spans="1:16" ht="16.5" thickBot="1" x14ac:dyDescent="0.3">
      <c r="B1" s="63" t="s">
        <v>69</v>
      </c>
      <c r="C1" s="64"/>
      <c r="D1" s="64"/>
      <c r="E1" s="64"/>
      <c r="F1" s="65"/>
      <c r="G1" s="66" t="s">
        <v>76</v>
      </c>
      <c r="H1" s="67"/>
      <c r="I1" s="67"/>
      <c r="J1" s="67"/>
      <c r="K1" s="67"/>
      <c r="L1" s="58" t="s">
        <v>108</v>
      </c>
      <c r="M1" s="59"/>
      <c r="N1" s="59"/>
      <c r="O1" s="59"/>
      <c r="P1" s="60"/>
    </row>
    <row r="2" spans="1:16" ht="30.75" thickBot="1" x14ac:dyDescent="0.3">
      <c r="A2" s="16" t="s">
        <v>68</v>
      </c>
      <c r="B2" s="20" t="s">
        <v>2</v>
      </c>
      <c r="C2" s="21" t="s">
        <v>3</v>
      </c>
      <c r="D2" s="21" t="s">
        <v>4</v>
      </c>
      <c r="E2" s="21" t="s">
        <v>59</v>
      </c>
      <c r="F2" s="22" t="s">
        <v>60</v>
      </c>
      <c r="G2" s="27" t="s">
        <v>2</v>
      </c>
      <c r="H2" s="28" t="s">
        <v>3</v>
      </c>
      <c r="I2" s="29" t="s">
        <v>4</v>
      </c>
      <c r="J2" s="29" t="s">
        <v>59</v>
      </c>
      <c r="K2" s="30" t="s">
        <v>60</v>
      </c>
      <c r="L2" s="36" t="s">
        <v>2</v>
      </c>
      <c r="M2" s="37" t="s">
        <v>3</v>
      </c>
      <c r="N2" s="37" t="s">
        <v>4</v>
      </c>
      <c r="O2" s="37" t="s">
        <v>59</v>
      </c>
      <c r="P2" s="38" t="s">
        <v>60</v>
      </c>
    </row>
    <row r="3" spans="1:16" ht="15.75" thickBot="1" x14ac:dyDescent="0.3">
      <c r="A3" s="48" t="s">
        <v>61</v>
      </c>
      <c r="B3" s="23"/>
      <c r="C3" s="24"/>
      <c r="D3" s="24"/>
      <c r="E3" s="24"/>
      <c r="F3" s="25"/>
      <c r="G3" s="31"/>
      <c r="H3" s="32"/>
      <c r="I3" s="32"/>
      <c r="J3" s="33"/>
      <c r="K3" s="34"/>
      <c r="L3" s="39" t="s">
        <v>90</v>
      </c>
      <c r="M3" s="40" t="s">
        <v>91</v>
      </c>
      <c r="N3" s="40">
        <v>3</v>
      </c>
      <c r="O3" s="40" t="s">
        <v>105</v>
      </c>
      <c r="P3" s="41">
        <f>(130/25)*150*N3</f>
        <v>2340</v>
      </c>
    </row>
    <row r="4" spans="1:16" ht="15.75" thickBot="1" x14ac:dyDescent="0.3">
      <c r="A4" s="48"/>
      <c r="B4" s="23"/>
      <c r="C4" s="24"/>
      <c r="D4" s="24"/>
      <c r="E4" s="24"/>
      <c r="F4" s="25"/>
      <c r="G4" s="31"/>
      <c r="H4" s="32"/>
      <c r="I4" s="32"/>
      <c r="J4" s="33"/>
      <c r="K4" s="34"/>
      <c r="L4" s="39" t="s">
        <v>92</v>
      </c>
      <c r="M4" s="40" t="s">
        <v>93</v>
      </c>
      <c r="N4" s="40">
        <v>3</v>
      </c>
      <c r="O4" s="40" t="s">
        <v>106</v>
      </c>
      <c r="P4" s="41">
        <f>(46/25)*100*N4</f>
        <v>552</v>
      </c>
    </row>
    <row r="5" spans="1:16" ht="19.5" thickBot="1" x14ac:dyDescent="0.35">
      <c r="A5" s="17" t="s">
        <v>62</v>
      </c>
      <c r="B5" s="23" t="s">
        <v>70</v>
      </c>
      <c r="C5" s="24" t="s">
        <v>71</v>
      </c>
      <c r="D5" s="24">
        <v>3</v>
      </c>
      <c r="E5" s="24" t="s">
        <v>95</v>
      </c>
      <c r="F5" s="26">
        <f>(275/25)*30*3</f>
        <v>990</v>
      </c>
      <c r="G5" s="31" t="s">
        <v>77</v>
      </c>
      <c r="H5" s="32" t="s">
        <v>78</v>
      </c>
      <c r="I5" s="32">
        <v>3</v>
      </c>
      <c r="J5" s="33" t="s">
        <v>98</v>
      </c>
      <c r="K5" s="34">
        <f>75*3</f>
        <v>225</v>
      </c>
      <c r="L5" s="39"/>
      <c r="M5" s="40"/>
      <c r="N5" s="40"/>
      <c r="O5" s="40"/>
      <c r="P5" s="41"/>
    </row>
    <row r="6" spans="1:16" ht="15.75" thickBot="1" x14ac:dyDescent="0.3">
      <c r="A6" s="48" t="s">
        <v>63</v>
      </c>
      <c r="B6" s="49" t="s">
        <v>70</v>
      </c>
      <c r="C6" s="50" t="s">
        <v>74</v>
      </c>
      <c r="D6" s="50">
        <v>2</v>
      </c>
      <c r="E6" s="50" t="s">
        <v>95</v>
      </c>
      <c r="F6" s="53">
        <f>(275/25)*50*2</f>
        <v>1100</v>
      </c>
      <c r="G6" s="51" t="s">
        <v>79</v>
      </c>
      <c r="H6" s="57" t="s">
        <v>80</v>
      </c>
      <c r="I6" s="57">
        <v>2</v>
      </c>
      <c r="J6" s="62" t="s">
        <v>97</v>
      </c>
      <c r="K6" s="55">
        <f>(489/10)*3*I6</f>
        <v>293.39999999999998</v>
      </c>
      <c r="L6" s="39" t="s">
        <v>90</v>
      </c>
      <c r="M6" s="40" t="s">
        <v>93</v>
      </c>
      <c r="N6" s="40">
        <v>2</v>
      </c>
      <c r="O6" s="40" t="s">
        <v>105</v>
      </c>
      <c r="P6" s="41">
        <f>(130/25)*100*N6</f>
        <v>1040</v>
      </c>
    </row>
    <row r="7" spans="1:16" ht="15.75" thickBot="1" x14ac:dyDescent="0.3">
      <c r="A7" s="48"/>
      <c r="B7" s="49"/>
      <c r="C7" s="50"/>
      <c r="D7" s="50"/>
      <c r="E7" s="50"/>
      <c r="F7" s="53"/>
      <c r="G7" s="51"/>
      <c r="H7" s="57"/>
      <c r="I7" s="57"/>
      <c r="J7" s="62"/>
      <c r="K7" s="55"/>
      <c r="L7" s="39" t="s">
        <v>92</v>
      </c>
      <c r="M7" s="40" t="s">
        <v>93</v>
      </c>
      <c r="N7" s="40">
        <v>2</v>
      </c>
      <c r="O7" s="40" t="s">
        <v>106</v>
      </c>
      <c r="P7" s="41">
        <f>(46/25)*100*N7</f>
        <v>368</v>
      </c>
    </row>
    <row r="8" spans="1:16" ht="15.75" thickBot="1" x14ac:dyDescent="0.3">
      <c r="A8" s="48" t="s">
        <v>64</v>
      </c>
      <c r="B8" s="23" t="s">
        <v>70</v>
      </c>
      <c r="C8" s="24" t="s">
        <v>73</v>
      </c>
      <c r="D8" s="24">
        <v>2</v>
      </c>
      <c r="E8" s="24" t="s">
        <v>95</v>
      </c>
      <c r="F8" s="26">
        <f>(275/25)*25*2</f>
        <v>550</v>
      </c>
      <c r="G8" s="31" t="s">
        <v>81</v>
      </c>
      <c r="H8" s="32" t="s">
        <v>82</v>
      </c>
      <c r="I8" s="32">
        <v>2</v>
      </c>
      <c r="J8" s="33" t="s">
        <v>99</v>
      </c>
      <c r="K8" s="34">
        <f>23*I8</f>
        <v>46</v>
      </c>
      <c r="L8" s="56" t="s">
        <v>94</v>
      </c>
      <c r="M8" s="52" t="s">
        <v>91</v>
      </c>
      <c r="N8" s="52">
        <v>2</v>
      </c>
      <c r="O8" s="52" t="s">
        <v>107</v>
      </c>
      <c r="P8" s="61">
        <f>(135/25)*150*N8</f>
        <v>1620</v>
      </c>
    </row>
    <row r="9" spans="1:16" ht="15.75" thickBot="1" x14ac:dyDescent="0.3">
      <c r="A9" s="48"/>
      <c r="B9" s="23" t="s">
        <v>72</v>
      </c>
      <c r="C9" s="24" t="s">
        <v>75</v>
      </c>
      <c r="D9" s="24">
        <v>2</v>
      </c>
      <c r="E9" s="24" t="s">
        <v>96</v>
      </c>
      <c r="F9" s="26">
        <f>(350/25)*15*2</f>
        <v>420</v>
      </c>
      <c r="G9" s="31" t="s">
        <v>83</v>
      </c>
      <c r="H9" s="32" t="s">
        <v>78</v>
      </c>
      <c r="I9" s="32">
        <v>2</v>
      </c>
      <c r="J9" s="33" t="s">
        <v>100</v>
      </c>
      <c r="K9" s="34">
        <f>44.5*2</f>
        <v>89</v>
      </c>
      <c r="L9" s="56"/>
      <c r="M9" s="52"/>
      <c r="N9" s="52"/>
      <c r="O9" s="52"/>
      <c r="P9" s="61"/>
    </row>
    <row r="10" spans="1:16" ht="15.75" thickBot="1" x14ac:dyDescent="0.3">
      <c r="A10" s="48"/>
      <c r="B10" s="23"/>
      <c r="C10" s="24"/>
      <c r="D10" s="24"/>
      <c r="E10" s="24"/>
      <c r="F10" s="26"/>
      <c r="G10" s="31" t="s">
        <v>84</v>
      </c>
      <c r="H10" s="32" t="s">
        <v>78</v>
      </c>
      <c r="I10" s="32">
        <v>2</v>
      </c>
      <c r="J10" s="33" t="s">
        <v>101</v>
      </c>
      <c r="K10" s="34">
        <f>45*2</f>
        <v>90</v>
      </c>
      <c r="L10" s="56"/>
      <c r="M10" s="52"/>
      <c r="N10" s="52"/>
      <c r="O10" s="52"/>
      <c r="P10" s="61"/>
    </row>
    <row r="11" spans="1:16" ht="15.75" thickBot="1" x14ac:dyDescent="0.3">
      <c r="A11" s="48" t="s">
        <v>65</v>
      </c>
      <c r="B11" s="23" t="s">
        <v>70</v>
      </c>
      <c r="C11" s="24" t="s">
        <v>73</v>
      </c>
      <c r="D11" s="24">
        <v>2</v>
      </c>
      <c r="E11" s="24" t="s">
        <v>95</v>
      </c>
      <c r="F11" s="26">
        <f>(275/25)*25*2</f>
        <v>550</v>
      </c>
      <c r="G11" s="31" t="s">
        <v>81</v>
      </c>
      <c r="H11" s="32" t="s">
        <v>82</v>
      </c>
      <c r="I11" s="32">
        <v>2</v>
      </c>
      <c r="J11" s="33" t="s">
        <v>99</v>
      </c>
      <c r="K11" s="34">
        <f>23*2</f>
        <v>46</v>
      </c>
      <c r="L11" s="39"/>
      <c r="M11" s="40"/>
      <c r="N11" s="40"/>
      <c r="O11" s="40"/>
      <c r="P11" s="41"/>
    </row>
    <row r="12" spans="1:16" ht="15.75" thickBot="1" x14ac:dyDescent="0.3">
      <c r="A12" s="48"/>
      <c r="B12" s="23" t="s">
        <v>72</v>
      </c>
      <c r="C12" s="24" t="s">
        <v>75</v>
      </c>
      <c r="D12" s="24">
        <v>2</v>
      </c>
      <c r="E12" s="24" t="s">
        <v>96</v>
      </c>
      <c r="F12" s="26">
        <f>(350/25)*15*D12</f>
        <v>420</v>
      </c>
      <c r="G12" s="31" t="s">
        <v>83</v>
      </c>
      <c r="H12" s="32" t="s">
        <v>78</v>
      </c>
      <c r="I12" s="32">
        <v>2</v>
      </c>
      <c r="J12" s="33" t="s">
        <v>100</v>
      </c>
      <c r="K12" s="34">
        <f>44.5*2</f>
        <v>89</v>
      </c>
      <c r="L12" s="39"/>
      <c r="M12" s="40"/>
      <c r="N12" s="40"/>
      <c r="O12" s="40"/>
      <c r="P12" s="41"/>
    </row>
    <row r="13" spans="1:16" ht="15.75" thickBot="1" x14ac:dyDescent="0.3">
      <c r="A13" s="48" t="s">
        <v>66</v>
      </c>
      <c r="B13" s="23" t="s">
        <v>70</v>
      </c>
      <c r="C13" s="24" t="s">
        <v>75</v>
      </c>
      <c r="D13" s="24">
        <v>5</v>
      </c>
      <c r="E13" s="24" t="s">
        <v>95</v>
      </c>
      <c r="F13" s="26">
        <f>(275/25)*15*D13</f>
        <v>825</v>
      </c>
      <c r="G13" s="31"/>
      <c r="H13" s="32"/>
      <c r="I13" s="32"/>
      <c r="J13" s="33"/>
      <c r="K13" s="34"/>
      <c r="L13" s="39"/>
      <c r="M13" s="40"/>
      <c r="N13" s="40"/>
      <c r="O13" s="40"/>
      <c r="P13" s="41"/>
    </row>
    <row r="14" spans="1:16" ht="15.75" thickBot="1" x14ac:dyDescent="0.3">
      <c r="A14" s="48"/>
      <c r="B14" s="23" t="s">
        <v>72</v>
      </c>
      <c r="C14" s="24" t="s">
        <v>75</v>
      </c>
      <c r="D14" s="24">
        <v>5</v>
      </c>
      <c r="E14" s="24" t="s">
        <v>96</v>
      </c>
      <c r="F14" s="26">
        <f>(350/25)*15*D14</f>
        <v>1050</v>
      </c>
      <c r="G14" s="31"/>
      <c r="H14" s="32"/>
      <c r="I14" s="32"/>
      <c r="J14" s="33"/>
      <c r="K14" s="34"/>
      <c r="L14" s="39"/>
      <c r="M14" s="40"/>
      <c r="N14" s="40"/>
      <c r="O14" s="40"/>
      <c r="P14" s="41"/>
    </row>
    <row r="15" spans="1:16" ht="15.75" thickBot="1" x14ac:dyDescent="0.3">
      <c r="A15" s="48" t="s">
        <v>67</v>
      </c>
      <c r="B15" s="49" t="s">
        <v>72</v>
      </c>
      <c r="C15" s="50" t="s">
        <v>73</v>
      </c>
      <c r="D15" s="50">
        <v>4</v>
      </c>
      <c r="E15" s="50" t="s">
        <v>96</v>
      </c>
      <c r="F15" s="53">
        <f>(350/25)*25*D15</f>
        <v>1400</v>
      </c>
      <c r="G15" s="31" t="s">
        <v>85</v>
      </c>
      <c r="H15" s="32" t="s">
        <v>86</v>
      </c>
      <c r="I15" s="32">
        <v>1</v>
      </c>
      <c r="J15" s="33" t="s">
        <v>102</v>
      </c>
      <c r="K15" s="34">
        <f>(200/10)*2</f>
        <v>40</v>
      </c>
      <c r="L15" s="39"/>
      <c r="M15" s="40"/>
      <c r="N15" s="40"/>
      <c r="O15" s="40"/>
      <c r="P15" s="41"/>
    </row>
    <row r="16" spans="1:16" ht="15.75" thickBot="1" x14ac:dyDescent="0.3">
      <c r="A16" s="48"/>
      <c r="B16" s="49"/>
      <c r="C16" s="50"/>
      <c r="D16" s="50"/>
      <c r="E16" s="50"/>
      <c r="F16" s="53"/>
      <c r="G16" s="31" t="s">
        <v>87</v>
      </c>
      <c r="H16" s="32" t="s">
        <v>88</v>
      </c>
      <c r="I16" s="32">
        <v>1</v>
      </c>
      <c r="J16" s="33" t="s">
        <v>103</v>
      </c>
      <c r="K16" s="34">
        <f>(320/5)*I16</f>
        <v>64</v>
      </c>
      <c r="L16" s="39"/>
      <c r="M16" s="40"/>
      <c r="N16" s="40"/>
      <c r="O16" s="40"/>
      <c r="P16" s="41"/>
    </row>
    <row r="17" spans="1:18" ht="15.75" thickBot="1" x14ac:dyDescent="0.3">
      <c r="A17" s="48"/>
      <c r="B17" s="49"/>
      <c r="C17" s="50"/>
      <c r="D17" s="50"/>
      <c r="E17" s="50"/>
      <c r="F17" s="53"/>
      <c r="G17" s="31" t="s">
        <v>89</v>
      </c>
      <c r="H17" s="32" t="s">
        <v>78</v>
      </c>
      <c r="I17" s="32">
        <v>1</v>
      </c>
      <c r="J17" s="33" t="s">
        <v>104</v>
      </c>
      <c r="K17" s="34">
        <v>43</v>
      </c>
      <c r="L17" s="39"/>
      <c r="M17" s="40"/>
      <c r="N17" s="40"/>
      <c r="O17" s="40"/>
      <c r="P17" s="41"/>
    </row>
    <row r="18" spans="1:18" ht="15.75" thickBot="1" x14ac:dyDescent="0.3">
      <c r="A18" s="48"/>
      <c r="B18" s="49"/>
      <c r="C18" s="50"/>
      <c r="D18" s="50"/>
      <c r="E18" s="50"/>
      <c r="F18" s="54"/>
      <c r="G18" s="31" t="s">
        <v>84</v>
      </c>
      <c r="H18" s="32" t="s">
        <v>78</v>
      </c>
      <c r="I18" s="32">
        <v>1</v>
      </c>
      <c r="J18" s="33" t="s">
        <v>101</v>
      </c>
      <c r="K18" s="35">
        <f>45</f>
        <v>45</v>
      </c>
      <c r="L18" s="39"/>
      <c r="M18" s="40"/>
      <c r="N18" s="40"/>
      <c r="O18" s="40"/>
      <c r="P18" s="42"/>
    </row>
    <row r="19" spans="1:18" ht="24" customHeight="1" thickBot="1" x14ac:dyDescent="0.3">
      <c r="F19" s="43">
        <f>SUM(F5:F18)</f>
        <v>7305</v>
      </c>
      <c r="K19" s="44">
        <f>SUM(K3:K18)</f>
        <v>1070.4000000000001</v>
      </c>
      <c r="P19" s="45">
        <f>SUM(P3:P18)</f>
        <v>5920</v>
      </c>
      <c r="Q19" s="46" t="s">
        <v>111</v>
      </c>
      <c r="R19" s="18">
        <f>P19+K19+F19</f>
        <v>14295.4</v>
      </c>
    </row>
    <row r="21" spans="1:18" x14ac:dyDescent="0.25">
      <c r="N21" s="47" t="s">
        <v>110</v>
      </c>
      <c r="O21" s="47"/>
      <c r="P21" s="47"/>
      <c r="Q21" s="19">
        <f>R19+'ochrona roślin'!G58</f>
        <v>29753.58</v>
      </c>
      <c r="R21" t="s">
        <v>109</v>
      </c>
    </row>
  </sheetData>
  <sheetProtection algorithmName="SHA-512" hashValue="avtDDURwUQ0jOZAunr3dwG2wMsfMPCVszXF1cmHF0c5NTOyxd2OpMwa9m4BlI6yXzrMtRuqNKYJiWfH8DKskfA==" saltValue="tBaSyLZgoEZzAbS1ymiBdg==" spinCount="100000" sheet="1" formatCells="0" formatColumns="0" formatRows="0" insertColumns="0" insertRows="0" insertHyperlinks="0" deleteColumns="0" deleteRows="0" sort="0" autoFilter="0" pivotTables="0"/>
  <mergeCells count="30">
    <mergeCell ref="L1:P1"/>
    <mergeCell ref="O8:O10"/>
    <mergeCell ref="P8:P10"/>
    <mergeCell ref="J6:J7"/>
    <mergeCell ref="E6:E7"/>
    <mergeCell ref="M8:M10"/>
    <mergeCell ref="B1:F1"/>
    <mergeCell ref="G1:K1"/>
    <mergeCell ref="F6:F7"/>
    <mergeCell ref="F15:F18"/>
    <mergeCell ref="K6:K7"/>
    <mergeCell ref="L8:L10"/>
    <mergeCell ref="H6:H7"/>
    <mergeCell ref="I6:I7"/>
    <mergeCell ref="N21:P21"/>
    <mergeCell ref="A3:A4"/>
    <mergeCell ref="B6:B7"/>
    <mergeCell ref="C6:C7"/>
    <mergeCell ref="D6:D7"/>
    <mergeCell ref="G6:G7"/>
    <mergeCell ref="A6:A7"/>
    <mergeCell ref="B15:B18"/>
    <mergeCell ref="C15:C18"/>
    <mergeCell ref="D15:D18"/>
    <mergeCell ref="N8:N10"/>
    <mergeCell ref="A15:A18"/>
    <mergeCell ref="A11:A12"/>
    <mergeCell ref="A13:A14"/>
    <mergeCell ref="A8:A10"/>
    <mergeCell ref="E15:E1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088A-7854-4419-9746-426CAC316DF0}">
  <dimension ref="A1:G58"/>
  <sheetViews>
    <sheetView tabSelected="1" workbookViewId="0">
      <selection activeCell="F4" sqref="F4:F11 F13:F18 F20:F25 F27:F28"/>
    </sheetView>
  </sheetViews>
  <sheetFormatPr defaultRowHeight="15" x14ac:dyDescent="0.25"/>
  <cols>
    <col min="1" max="1" width="26.28515625" customWidth="1"/>
    <col min="2" max="6" width="20.7109375" customWidth="1"/>
  </cols>
  <sheetData>
    <row r="1" spans="1:6" ht="28.9" customHeight="1" x14ac:dyDescent="0.25">
      <c r="A1" s="76" t="s">
        <v>0</v>
      </c>
      <c r="B1" s="76"/>
      <c r="C1" s="76"/>
      <c r="D1" s="76"/>
      <c r="E1" s="76"/>
      <c r="F1" s="76"/>
    </row>
    <row r="2" spans="1:6" ht="28.9" customHeight="1" x14ac:dyDescent="0.25">
      <c r="A2" s="71" t="s">
        <v>1</v>
      </c>
      <c r="B2" s="71"/>
      <c r="C2" s="71"/>
      <c r="D2" s="71"/>
      <c r="E2" s="71"/>
      <c r="F2" s="71"/>
    </row>
    <row r="3" spans="1:6" ht="28.9" customHeight="1" x14ac:dyDescent="0.25">
      <c r="A3" s="13" t="s">
        <v>24</v>
      </c>
      <c r="B3" s="14" t="s">
        <v>2</v>
      </c>
      <c r="C3" s="14" t="s">
        <v>3</v>
      </c>
      <c r="D3" s="14" t="s">
        <v>4</v>
      </c>
      <c r="E3" s="14" t="s">
        <v>59</v>
      </c>
      <c r="F3" s="14" t="s">
        <v>60</v>
      </c>
    </row>
    <row r="4" spans="1:6" x14ac:dyDescent="0.25">
      <c r="A4" s="7" t="s">
        <v>5</v>
      </c>
      <c r="B4" s="72" t="s">
        <v>11</v>
      </c>
      <c r="C4" s="68" t="s">
        <v>12</v>
      </c>
      <c r="D4" s="68">
        <v>3</v>
      </c>
      <c r="E4" s="68" t="s">
        <v>53</v>
      </c>
      <c r="F4" s="69">
        <f>D4*612</f>
        <v>1836</v>
      </c>
    </row>
    <row r="5" spans="1:6" x14ac:dyDescent="0.25">
      <c r="A5" s="5" t="s">
        <v>9</v>
      </c>
      <c r="B5" s="72"/>
      <c r="C5" s="68"/>
      <c r="D5" s="68"/>
      <c r="E5" s="68"/>
      <c r="F5" s="69"/>
    </row>
    <row r="6" spans="1:6" x14ac:dyDescent="0.25">
      <c r="A6" s="6" t="s">
        <v>10</v>
      </c>
      <c r="B6" s="72"/>
      <c r="C6" s="68"/>
      <c r="D6" s="68"/>
      <c r="E6" s="68"/>
      <c r="F6" s="69"/>
    </row>
    <row r="7" spans="1:6" x14ac:dyDescent="0.25">
      <c r="A7" s="5" t="s">
        <v>6</v>
      </c>
      <c r="B7" s="72"/>
      <c r="C7" s="68"/>
      <c r="D7" s="68"/>
      <c r="E7" s="68"/>
      <c r="F7" s="69"/>
    </row>
    <row r="8" spans="1:6" x14ac:dyDescent="0.25">
      <c r="A8" s="6" t="s">
        <v>7</v>
      </c>
      <c r="B8" s="72" t="s">
        <v>13</v>
      </c>
      <c r="C8" s="68" t="s">
        <v>14</v>
      </c>
      <c r="D8" s="68">
        <v>2</v>
      </c>
      <c r="E8" s="68" t="s">
        <v>54</v>
      </c>
      <c r="F8" s="69">
        <f>(0.8*788)*D8</f>
        <v>1260.8000000000002</v>
      </c>
    </row>
    <row r="9" spans="1:6" x14ac:dyDescent="0.25">
      <c r="A9" s="5" t="s">
        <v>8</v>
      </c>
      <c r="B9" s="72"/>
      <c r="C9" s="68"/>
      <c r="D9" s="68"/>
      <c r="E9" s="68"/>
      <c r="F9" s="69"/>
    </row>
    <row r="10" spans="1:6" x14ac:dyDescent="0.25">
      <c r="A10" s="6" t="s">
        <v>15</v>
      </c>
      <c r="B10" s="72"/>
      <c r="C10" s="68"/>
      <c r="D10" s="68"/>
      <c r="E10" s="68"/>
      <c r="F10" s="69"/>
    </row>
    <row r="11" spans="1:6" x14ac:dyDescent="0.25">
      <c r="A11" s="5" t="s">
        <v>16</v>
      </c>
      <c r="B11" s="72"/>
      <c r="C11" s="68"/>
      <c r="D11" s="68"/>
      <c r="E11" s="68"/>
      <c r="F11" s="69"/>
    </row>
    <row r="12" spans="1:6" s="2" customFormat="1" ht="28.9" customHeight="1" x14ac:dyDescent="0.25">
      <c r="A12" s="70" t="s">
        <v>18</v>
      </c>
      <c r="B12" s="71"/>
      <c r="C12" s="71"/>
      <c r="D12" s="71"/>
      <c r="E12" s="71"/>
      <c r="F12" s="71"/>
    </row>
    <row r="13" spans="1:6" x14ac:dyDescent="0.25">
      <c r="A13" s="7" t="s">
        <v>7</v>
      </c>
      <c r="B13" s="72" t="s">
        <v>11</v>
      </c>
      <c r="C13" s="68" t="s">
        <v>12</v>
      </c>
      <c r="D13" s="68">
        <v>3</v>
      </c>
      <c r="E13" s="68" t="s">
        <v>53</v>
      </c>
      <c r="F13" s="69">
        <f>D13*612</f>
        <v>1836</v>
      </c>
    </row>
    <row r="14" spans="1:6" x14ac:dyDescent="0.25">
      <c r="A14" s="5" t="s">
        <v>8</v>
      </c>
      <c r="B14" s="72"/>
      <c r="C14" s="68"/>
      <c r="D14" s="68"/>
      <c r="E14" s="68"/>
      <c r="F14" s="69"/>
    </row>
    <row r="15" spans="1:6" x14ac:dyDescent="0.25">
      <c r="A15" s="6" t="s">
        <v>19</v>
      </c>
      <c r="B15" s="72"/>
      <c r="C15" s="68"/>
      <c r="D15" s="68"/>
      <c r="E15" s="68"/>
      <c r="F15" s="69"/>
    </row>
    <row r="16" spans="1:6" x14ac:dyDescent="0.25">
      <c r="A16" s="5" t="s">
        <v>20</v>
      </c>
      <c r="B16" s="72" t="s">
        <v>13</v>
      </c>
      <c r="C16" s="68" t="s">
        <v>17</v>
      </c>
      <c r="D16" s="68">
        <v>2</v>
      </c>
      <c r="E16" s="68" t="s">
        <v>54</v>
      </c>
      <c r="F16" s="69">
        <f>(0.8*788)*D16</f>
        <v>1260.8000000000002</v>
      </c>
    </row>
    <row r="17" spans="1:7" x14ac:dyDescent="0.25">
      <c r="A17" s="6" t="s">
        <v>15</v>
      </c>
      <c r="B17" s="72"/>
      <c r="C17" s="68"/>
      <c r="D17" s="68"/>
      <c r="E17" s="68"/>
      <c r="F17" s="69"/>
    </row>
    <row r="18" spans="1:7" x14ac:dyDescent="0.25">
      <c r="A18" s="5" t="s">
        <v>16</v>
      </c>
      <c r="B18" s="72"/>
      <c r="C18" s="68"/>
      <c r="D18" s="68"/>
      <c r="E18" s="68"/>
      <c r="F18" s="69"/>
    </row>
    <row r="19" spans="1:7" ht="28.9" customHeight="1" x14ac:dyDescent="0.25">
      <c r="A19" s="70" t="s">
        <v>21</v>
      </c>
      <c r="B19" s="71"/>
      <c r="C19" s="71"/>
      <c r="D19" s="71"/>
      <c r="E19" s="71"/>
      <c r="F19" s="71"/>
    </row>
    <row r="20" spans="1:7" x14ac:dyDescent="0.25">
      <c r="A20" s="7" t="s">
        <v>7</v>
      </c>
      <c r="B20" s="72" t="s">
        <v>11</v>
      </c>
      <c r="C20" s="68" t="s">
        <v>12</v>
      </c>
      <c r="D20" s="68">
        <v>3</v>
      </c>
      <c r="E20" s="68" t="s">
        <v>53</v>
      </c>
      <c r="F20" s="69">
        <f>D20*612</f>
        <v>1836</v>
      </c>
    </row>
    <row r="21" spans="1:7" x14ac:dyDescent="0.25">
      <c r="A21" s="5" t="s">
        <v>8</v>
      </c>
      <c r="B21" s="72"/>
      <c r="C21" s="68"/>
      <c r="D21" s="68"/>
      <c r="E21" s="68"/>
      <c r="F21" s="69"/>
    </row>
    <row r="22" spans="1:7" x14ac:dyDescent="0.25">
      <c r="A22" s="6" t="s">
        <v>19</v>
      </c>
      <c r="B22" s="72"/>
      <c r="C22" s="68"/>
      <c r="D22" s="68"/>
      <c r="E22" s="68"/>
      <c r="F22" s="69"/>
    </row>
    <row r="23" spans="1:7" x14ac:dyDescent="0.25">
      <c r="A23" s="5" t="s">
        <v>20</v>
      </c>
      <c r="B23" s="72" t="s">
        <v>13</v>
      </c>
      <c r="C23" s="68" t="s">
        <v>17</v>
      </c>
      <c r="D23" s="68">
        <v>2</v>
      </c>
      <c r="E23" s="68" t="s">
        <v>54</v>
      </c>
      <c r="F23" s="69">
        <f>(0.8*788)*D23</f>
        <v>1260.8000000000002</v>
      </c>
    </row>
    <row r="24" spans="1:7" x14ac:dyDescent="0.25">
      <c r="A24" s="6" t="s">
        <v>15</v>
      </c>
      <c r="B24" s="72"/>
      <c r="C24" s="68"/>
      <c r="D24" s="68"/>
      <c r="E24" s="68"/>
      <c r="F24" s="69"/>
    </row>
    <row r="25" spans="1:7" x14ac:dyDescent="0.25">
      <c r="A25" s="5" t="s">
        <v>16</v>
      </c>
      <c r="B25" s="72"/>
      <c r="C25" s="68"/>
      <c r="D25" s="68"/>
      <c r="E25" s="68"/>
      <c r="F25" s="69"/>
    </row>
    <row r="26" spans="1:7" s="2" customFormat="1" ht="28.9" customHeight="1" x14ac:dyDescent="0.25">
      <c r="A26" s="70" t="s">
        <v>22</v>
      </c>
      <c r="B26" s="71"/>
      <c r="C26" s="71"/>
      <c r="D26" s="71"/>
      <c r="E26" s="71"/>
      <c r="F26" s="71"/>
    </row>
    <row r="27" spans="1:7" x14ac:dyDescent="0.25">
      <c r="A27" s="7" t="s">
        <v>15</v>
      </c>
      <c r="B27" s="72" t="s">
        <v>51</v>
      </c>
      <c r="C27" s="68" t="s">
        <v>52</v>
      </c>
      <c r="D27" s="68">
        <v>4</v>
      </c>
      <c r="E27" s="68" t="s">
        <v>55</v>
      </c>
      <c r="F27" s="69">
        <f>(5*18.5)*D27</f>
        <v>370</v>
      </c>
    </row>
    <row r="28" spans="1:7" x14ac:dyDescent="0.25">
      <c r="A28" s="5" t="s">
        <v>16</v>
      </c>
      <c r="B28" s="72"/>
      <c r="C28" s="68"/>
      <c r="D28" s="68"/>
      <c r="E28" s="68"/>
      <c r="F28" s="69"/>
      <c r="G28" s="10">
        <f>F4+F8+F13+F16+F20+F23+F27</f>
        <v>9660.4000000000015</v>
      </c>
    </row>
    <row r="29" spans="1:7" ht="28.9" customHeight="1" x14ac:dyDescent="0.25">
      <c r="A29" s="73"/>
      <c r="B29" s="74"/>
      <c r="C29" s="74"/>
      <c r="D29" s="74"/>
      <c r="E29" s="74"/>
      <c r="F29" s="75"/>
      <c r="G29" s="11"/>
    </row>
    <row r="30" spans="1:7" ht="28.9" customHeight="1" x14ac:dyDescent="0.25">
      <c r="A30" s="76" t="s">
        <v>23</v>
      </c>
      <c r="B30" s="76"/>
      <c r="C30" s="76"/>
      <c r="D30" s="76"/>
      <c r="E30" s="76"/>
      <c r="F30" s="76"/>
      <c r="G30" s="11"/>
    </row>
    <row r="31" spans="1:7" ht="28.9" customHeight="1" x14ac:dyDescent="0.25">
      <c r="A31" s="71" t="s">
        <v>1</v>
      </c>
      <c r="B31" s="71"/>
      <c r="C31" s="71"/>
      <c r="D31" s="71"/>
      <c r="E31" s="71"/>
      <c r="F31" s="71"/>
      <c r="G31" s="11"/>
    </row>
    <row r="32" spans="1:7" s="1" customFormat="1" ht="28.9" customHeight="1" x14ac:dyDescent="0.25">
      <c r="A32" s="14" t="s">
        <v>25</v>
      </c>
      <c r="B32" s="14" t="s">
        <v>2</v>
      </c>
      <c r="C32" s="14" t="s">
        <v>3</v>
      </c>
      <c r="D32" s="14" t="s">
        <v>4</v>
      </c>
      <c r="E32" s="14" t="s">
        <v>59</v>
      </c>
      <c r="F32" s="14" t="s">
        <v>60</v>
      </c>
      <c r="G32" s="15"/>
    </row>
    <row r="33" spans="1:7" x14ac:dyDescent="0.25">
      <c r="A33" s="7" t="s">
        <v>26</v>
      </c>
      <c r="B33" s="68" t="s">
        <v>27</v>
      </c>
      <c r="C33" s="68" t="s">
        <v>28</v>
      </c>
      <c r="D33" s="68">
        <v>2</v>
      </c>
      <c r="E33" s="68" t="s">
        <v>56</v>
      </c>
      <c r="F33" s="69">
        <f>92.57*D33</f>
        <v>185.14</v>
      </c>
      <c r="G33" s="11"/>
    </row>
    <row r="34" spans="1:7" x14ac:dyDescent="0.25">
      <c r="A34" s="7" t="s">
        <v>32</v>
      </c>
      <c r="B34" s="72"/>
      <c r="C34" s="68"/>
      <c r="D34" s="68"/>
      <c r="E34" s="68"/>
      <c r="F34" s="69"/>
      <c r="G34" s="11"/>
    </row>
    <row r="35" spans="1:7" x14ac:dyDescent="0.25">
      <c r="A35" s="9" t="s">
        <v>29</v>
      </c>
      <c r="B35" s="72"/>
      <c r="C35" s="68"/>
      <c r="D35" s="68"/>
      <c r="E35" s="68"/>
      <c r="F35" s="69"/>
      <c r="G35" s="11"/>
    </row>
    <row r="36" spans="1:7" x14ac:dyDescent="0.25">
      <c r="A36" s="6" t="s">
        <v>30</v>
      </c>
      <c r="B36" s="72" t="s">
        <v>44</v>
      </c>
      <c r="C36" s="68" t="s">
        <v>33</v>
      </c>
      <c r="D36" s="68">
        <v>2</v>
      </c>
      <c r="E36" s="68" t="s">
        <v>57</v>
      </c>
      <c r="F36" s="69">
        <f>(0.4*800)*D36</f>
        <v>640</v>
      </c>
      <c r="G36" s="11"/>
    </row>
    <row r="37" spans="1:7" x14ac:dyDescent="0.25">
      <c r="A37" s="3" t="s">
        <v>31</v>
      </c>
      <c r="B37" s="72"/>
      <c r="C37" s="68"/>
      <c r="D37" s="68"/>
      <c r="E37" s="68"/>
      <c r="F37" s="69"/>
      <c r="G37" s="11"/>
    </row>
    <row r="38" spans="1:7" x14ac:dyDescent="0.25">
      <c r="A38" s="6" t="s">
        <v>34</v>
      </c>
      <c r="B38" s="72" t="s">
        <v>36</v>
      </c>
      <c r="C38" s="68" t="s">
        <v>37</v>
      </c>
      <c r="D38" s="68">
        <v>5</v>
      </c>
      <c r="E38" s="68" t="s">
        <v>58</v>
      </c>
      <c r="F38" s="69">
        <f>(2*237)*D38</f>
        <v>2370</v>
      </c>
      <c r="G38" s="11"/>
    </row>
    <row r="39" spans="1:7" x14ac:dyDescent="0.25">
      <c r="A39" s="5" t="s">
        <v>35</v>
      </c>
      <c r="B39" s="72"/>
      <c r="C39" s="68"/>
      <c r="D39" s="68"/>
      <c r="E39" s="68"/>
      <c r="F39" s="69"/>
      <c r="G39" s="11"/>
    </row>
    <row r="40" spans="1:7" x14ac:dyDescent="0.25">
      <c r="A40" s="6" t="s">
        <v>38</v>
      </c>
      <c r="B40" s="72"/>
      <c r="C40" s="68"/>
      <c r="D40" s="68"/>
      <c r="E40" s="68"/>
      <c r="F40" s="69"/>
      <c r="G40" s="11"/>
    </row>
    <row r="41" spans="1:7" x14ac:dyDescent="0.25">
      <c r="A41" s="5" t="s">
        <v>39</v>
      </c>
      <c r="B41" s="72"/>
      <c r="C41" s="68"/>
      <c r="D41" s="68"/>
      <c r="E41" s="68"/>
      <c r="F41" s="69"/>
      <c r="G41" s="11"/>
    </row>
    <row r="42" spans="1:7" x14ac:dyDescent="0.25">
      <c r="A42" s="6" t="s">
        <v>40</v>
      </c>
      <c r="B42" s="72"/>
      <c r="C42" s="68"/>
      <c r="D42" s="68"/>
      <c r="E42" s="68"/>
      <c r="F42" s="69"/>
      <c r="G42" s="11"/>
    </row>
    <row r="43" spans="1:7" x14ac:dyDescent="0.25">
      <c r="A43" s="5" t="s">
        <v>41</v>
      </c>
      <c r="B43" s="72"/>
      <c r="C43" s="68"/>
      <c r="D43" s="68"/>
      <c r="E43" s="68"/>
      <c r="F43" s="69"/>
      <c r="G43" s="11"/>
    </row>
    <row r="44" spans="1:7" s="2" customFormat="1" ht="28.9" customHeight="1" x14ac:dyDescent="0.25">
      <c r="A44" s="70" t="s">
        <v>18</v>
      </c>
      <c r="B44" s="71"/>
      <c r="C44" s="71"/>
      <c r="D44" s="71"/>
      <c r="E44" s="71"/>
      <c r="F44" s="71"/>
      <c r="G44" s="12"/>
    </row>
    <row r="45" spans="1:7" ht="14.45" customHeight="1" x14ac:dyDescent="0.25">
      <c r="A45" s="4" t="s">
        <v>42</v>
      </c>
      <c r="B45" s="72" t="s">
        <v>44</v>
      </c>
      <c r="C45" s="68" t="s">
        <v>33</v>
      </c>
      <c r="D45" s="68">
        <v>2</v>
      </c>
      <c r="E45" s="68" t="s">
        <v>57</v>
      </c>
      <c r="F45" s="69">
        <f>(0.4*800)*D45</f>
        <v>640</v>
      </c>
      <c r="G45" s="11"/>
    </row>
    <row r="46" spans="1:7" x14ac:dyDescent="0.25">
      <c r="A46" s="5" t="s">
        <v>43</v>
      </c>
      <c r="B46" s="72"/>
      <c r="C46" s="68"/>
      <c r="D46" s="68"/>
      <c r="E46" s="68"/>
      <c r="F46" s="69"/>
      <c r="G46" s="11"/>
    </row>
    <row r="47" spans="1:7" x14ac:dyDescent="0.25">
      <c r="A47" s="6" t="s">
        <v>26</v>
      </c>
      <c r="B47" s="68" t="s">
        <v>27</v>
      </c>
      <c r="C47" s="68" t="s">
        <v>28</v>
      </c>
      <c r="D47" s="68">
        <v>2</v>
      </c>
      <c r="E47" s="68" t="s">
        <v>56</v>
      </c>
      <c r="F47" s="69">
        <f>92.57*D47</f>
        <v>185.14</v>
      </c>
      <c r="G47" s="11"/>
    </row>
    <row r="48" spans="1:7" x14ac:dyDescent="0.25">
      <c r="A48" s="7" t="s">
        <v>47</v>
      </c>
      <c r="B48" s="72"/>
      <c r="C48" s="68"/>
      <c r="D48" s="68"/>
      <c r="E48" s="68"/>
      <c r="F48" s="69"/>
      <c r="G48" s="11"/>
    </row>
    <row r="49" spans="1:7" x14ac:dyDescent="0.25">
      <c r="A49" s="5" t="s">
        <v>46</v>
      </c>
      <c r="B49" s="72"/>
      <c r="C49" s="68"/>
      <c r="D49" s="68"/>
      <c r="E49" s="68"/>
      <c r="F49" s="69"/>
      <c r="G49" s="11"/>
    </row>
    <row r="50" spans="1:7" x14ac:dyDescent="0.25">
      <c r="A50" s="6" t="s">
        <v>45</v>
      </c>
      <c r="B50" s="68"/>
      <c r="C50" s="68"/>
      <c r="D50" s="68"/>
      <c r="E50" s="68"/>
      <c r="F50" s="69"/>
      <c r="G50" s="11"/>
    </row>
    <row r="51" spans="1:7" x14ac:dyDescent="0.25">
      <c r="A51" s="8" t="s">
        <v>48</v>
      </c>
      <c r="B51" s="72"/>
      <c r="C51" s="68"/>
      <c r="D51" s="68"/>
      <c r="E51" s="68"/>
      <c r="F51" s="69"/>
      <c r="G51" s="11"/>
    </row>
    <row r="52" spans="1:7" x14ac:dyDescent="0.25">
      <c r="A52" s="9" t="s">
        <v>49</v>
      </c>
      <c r="B52" s="72"/>
      <c r="C52" s="68"/>
      <c r="D52" s="68"/>
      <c r="E52" s="68"/>
      <c r="F52" s="69"/>
      <c r="G52" s="11"/>
    </row>
    <row r="53" spans="1:7" x14ac:dyDescent="0.25">
      <c r="A53" s="7" t="s">
        <v>38</v>
      </c>
      <c r="B53" s="72" t="s">
        <v>36</v>
      </c>
      <c r="C53" s="68" t="s">
        <v>50</v>
      </c>
      <c r="D53" s="68">
        <v>5</v>
      </c>
      <c r="E53" s="68" t="s">
        <v>58</v>
      </c>
      <c r="F53" s="69">
        <f>(1.5*237)*D53</f>
        <v>1777.5</v>
      </c>
      <c r="G53" s="11"/>
    </row>
    <row r="54" spans="1:7" x14ac:dyDescent="0.25">
      <c r="A54" s="9" t="s">
        <v>39</v>
      </c>
      <c r="B54" s="72"/>
      <c r="C54" s="68"/>
      <c r="D54" s="68"/>
      <c r="E54" s="68"/>
      <c r="F54" s="69"/>
      <c r="G54" s="11"/>
    </row>
    <row r="55" spans="1:7" x14ac:dyDescent="0.25">
      <c r="A55" s="7" t="s">
        <v>40</v>
      </c>
      <c r="B55" s="72"/>
      <c r="C55" s="68"/>
      <c r="D55" s="68"/>
      <c r="E55" s="68"/>
      <c r="F55" s="69"/>
      <c r="G55" s="11"/>
    </row>
    <row r="56" spans="1:7" x14ac:dyDescent="0.25">
      <c r="A56" s="5" t="s">
        <v>41</v>
      </c>
      <c r="B56" s="72"/>
      <c r="C56" s="68"/>
      <c r="D56" s="68"/>
      <c r="E56" s="68"/>
      <c r="F56" s="69"/>
      <c r="G56" s="10">
        <f>F33+F36+F38+F45+F47+F53</f>
        <v>5797.78</v>
      </c>
    </row>
    <row r="57" spans="1:7" x14ac:dyDescent="0.25">
      <c r="G57" s="11"/>
    </row>
    <row r="58" spans="1:7" x14ac:dyDescent="0.25">
      <c r="G58" s="10">
        <f>G28+G56</f>
        <v>15458.18</v>
      </c>
    </row>
  </sheetData>
  <sheetProtection algorithmName="SHA-512" hashValue="IRjIzYlAL6eVkuH6rUPo6niU0woo1ZaZvF2zePOZZq11rD6gROjNhG1ZUossfdNtygvI+RMe4gYPytxH2YxZOA==" saltValue="9jsUXi/o0/KfZMEUS58WGw==" spinCount="100000" sheet="1" formatCells="0" formatColumns="0" formatRows="0" insertColumns="0" insertRows="0" insertHyperlinks="0" deleteColumns="0" deleteRows="0" sort="0" autoFilter="0" pivotTables="0"/>
  <mergeCells count="74">
    <mergeCell ref="B4:B7"/>
    <mergeCell ref="C4:C7"/>
    <mergeCell ref="D4:D7"/>
    <mergeCell ref="A1:F1"/>
    <mergeCell ref="A2:F2"/>
    <mergeCell ref="E4:E7"/>
    <mergeCell ref="D8:D11"/>
    <mergeCell ref="B13:B15"/>
    <mergeCell ref="B16:B18"/>
    <mergeCell ref="C16:C18"/>
    <mergeCell ref="D16:D18"/>
    <mergeCell ref="A12:F12"/>
    <mergeCell ref="C13:C15"/>
    <mergeCell ref="D13:D15"/>
    <mergeCell ref="E13:E15"/>
    <mergeCell ref="B23:B25"/>
    <mergeCell ref="C23:C25"/>
    <mergeCell ref="D23:D25"/>
    <mergeCell ref="E23:E25"/>
    <mergeCell ref="F23:F25"/>
    <mergeCell ref="D36:D37"/>
    <mergeCell ref="B38:B43"/>
    <mergeCell ref="C38:C43"/>
    <mergeCell ref="D38:D43"/>
    <mergeCell ref="A26:F26"/>
    <mergeCell ref="A30:F30"/>
    <mergeCell ref="A31:F31"/>
    <mergeCell ref="B33:B35"/>
    <mergeCell ref="C33:C35"/>
    <mergeCell ref="D33:D35"/>
    <mergeCell ref="E27:E28"/>
    <mergeCell ref="F27:F28"/>
    <mergeCell ref="E33:E35"/>
    <mergeCell ref="F33:F35"/>
    <mergeCell ref="E36:E37"/>
    <mergeCell ref="E38:E43"/>
    <mergeCell ref="B53:B56"/>
    <mergeCell ref="C53:C56"/>
    <mergeCell ref="D53:D56"/>
    <mergeCell ref="B27:B28"/>
    <mergeCell ref="C27:C28"/>
    <mergeCell ref="D27:D28"/>
    <mergeCell ref="A29:F29"/>
    <mergeCell ref="A44:F44"/>
    <mergeCell ref="B45:B46"/>
    <mergeCell ref="C45:C46"/>
    <mergeCell ref="D45:D46"/>
    <mergeCell ref="B47:B52"/>
    <mergeCell ref="C47:C52"/>
    <mergeCell ref="D47:D52"/>
    <mergeCell ref="B36:B37"/>
    <mergeCell ref="C36:C37"/>
    <mergeCell ref="F38:F43"/>
    <mergeCell ref="F36:F37"/>
    <mergeCell ref="E20:E22"/>
    <mergeCell ref="F4:F7"/>
    <mergeCell ref="F13:F15"/>
    <mergeCell ref="F20:F22"/>
    <mergeCell ref="E8:E11"/>
    <mergeCell ref="E16:E18"/>
    <mergeCell ref="F8:F11"/>
    <mergeCell ref="F16:F18"/>
    <mergeCell ref="A19:F19"/>
    <mergeCell ref="B20:B22"/>
    <mergeCell ref="C20:C22"/>
    <mergeCell ref="D20:D22"/>
    <mergeCell ref="B8:B11"/>
    <mergeCell ref="C8:C11"/>
    <mergeCell ref="E45:E46"/>
    <mergeCell ref="E47:E52"/>
    <mergeCell ref="E53:E56"/>
    <mergeCell ref="F53:F56"/>
    <mergeCell ref="F47:F52"/>
    <mergeCell ref="F45:F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nawożenie</vt:lpstr>
      <vt:lpstr>ochrona roślin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Staszewska</dc:creator>
  <cp:lastModifiedBy>Marek Wojdaszka</cp:lastModifiedBy>
  <cp:lastPrinted>2025-03-15T21:29:17Z</cp:lastPrinted>
  <dcterms:created xsi:type="dcterms:W3CDTF">2025-01-20T08:51:56Z</dcterms:created>
  <dcterms:modified xsi:type="dcterms:W3CDTF">2025-03-15T21:34:04Z</dcterms:modified>
</cp:coreProperties>
</file>